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Budget\2016-17\Reporting\Monthly\Section 71\February\"/>
    </mc:Choice>
  </mc:AlternateContent>
  <workbookProtection workbookPassword="F954" lockStructure="1"/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Area" localSheetId="0">Sheet1!$A:$Q</definedName>
    <definedName name="_xlnm.Print_Titles" localSheetId="0">Sheet1!$A:$E,Sheet1!$1:$6</definedName>
  </definedNames>
  <calcPr calcId="152511" calcMode="manual"/>
</workbook>
</file>

<file path=xl/calcChain.xml><?xml version="1.0" encoding="utf-8"?>
<calcChain xmlns="http://schemas.openxmlformats.org/spreadsheetml/2006/main">
  <c r="Q41" i="1" l="1"/>
  <c r="P41" i="1"/>
  <c r="O41" i="1"/>
  <c r="N41" i="1"/>
  <c r="M41" i="1"/>
  <c r="M37" i="1"/>
  <c r="L19" i="1"/>
  <c r="M15" i="1"/>
  <c r="M23" i="1"/>
  <c r="M13" i="1"/>
  <c r="M11" i="1"/>
  <c r="M10" i="1"/>
  <c r="L47" i="1" l="1"/>
  <c r="N31" i="1" l="1"/>
  <c r="L38" i="1" l="1"/>
  <c r="L43" i="1"/>
  <c r="L44" i="1"/>
  <c r="L46" i="1"/>
  <c r="L23" i="1"/>
  <c r="L37" i="1" l="1"/>
  <c r="G22" i="1"/>
  <c r="K26" i="1" l="1"/>
  <c r="K23" i="1"/>
  <c r="K12" i="1"/>
  <c r="K13" i="1"/>
  <c r="K8" i="1"/>
  <c r="K10" i="1"/>
  <c r="K47" i="1"/>
  <c r="K38" i="1"/>
  <c r="K37" i="1"/>
  <c r="J31" i="1" l="1"/>
  <c r="J15" i="1"/>
  <c r="J23" i="1"/>
  <c r="J37" i="1"/>
  <c r="I37" i="1" l="1"/>
  <c r="H33" i="1" l="1"/>
  <c r="H37" i="1"/>
  <c r="H12" i="1"/>
  <c r="H13" i="1"/>
  <c r="H10" i="1"/>
  <c r="H11" i="1"/>
  <c r="G33" i="1" l="1"/>
  <c r="G37" i="1"/>
  <c r="F33" i="1"/>
  <c r="F22" i="1"/>
  <c r="P33" i="1" l="1"/>
  <c r="P37" i="1" l="1"/>
  <c r="O23" i="1" l="1"/>
  <c r="O33" i="1"/>
  <c r="O37" i="1"/>
  <c r="N47" i="1" l="1"/>
  <c r="N23" i="1"/>
  <c r="N26" i="1"/>
  <c r="N37" i="1"/>
  <c r="F47" i="1" l="1"/>
  <c r="F37" i="1" l="1"/>
  <c r="Q37" i="1" l="1"/>
  <c r="Q14" i="1" l="1"/>
  <c r="H24" i="1" l="1"/>
  <c r="H35" i="1" s="1"/>
  <c r="G48" i="1"/>
  <c r="G53" i="1" s="1"/>
  <c r="N24" i="1"/>
  <c r="N35" i="1" s="1"/>
  <c r="J24" i="1"/>
  <c r="J35" i="1" s="1"/>
  <c r="I24" i="1"/>
  <c r="I35" i="1" s="1"/>
  <c r="G24" i="1"/>
  <c r="G35" i="1" s="1"/>
  <c r="F24" i="1"/>
  <c r="F35" i="1" s="1"/>
  <c r="AF7" i="1"/>
  <c r="H48" i="1"/>
  <c r="H53" i="1" s="1"/>
  <c r="I48" i="1"/>
  <c r="I53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F48" i="1"/>
  <c r="F53" i="1" s="1"/>
  <c r="F54" i="1" l="1"/>
  <c r="F56" i="1" s="1"/>
  <c r="G55" i="1" s="1"/>
  <c r="Q54" i="1"/>
  <c r="N54" i="1"/>
  <c r="K54" i="1"/>
  <c r="G54" i="1"/>
  <c r="L54" i="1"/>
  <c r="O54" i="1"/>
  <c r="P54" i="1"/>
  <c r="I54" i="1"/>
  <c r="M54" i="1"/>
  <c r="J54" i="1"/>
  <c r="H54" i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l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<sst xmlns="http://schemas.openxmlformats.org/spreadsheetml/2006/main" count="402" uniqueCount="399">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</sst>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Budget/2016-17/Reporting/Monthly/Section%2071/December/FS196_OSA_2017_M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Budget/2016-17/Reporting/Monthly/Section%2071/January/FS196_OSA_2017_M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Section%2071%20Reports/Section%2071/FS196_OSA_2015_M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>
        <row r="3921">
          <cell r="J3921">
            <v>5259027</v>
          </cell>
        </row>
        <row r="3922">
          <cell r="J3922">
            <v>1109532</v>
          </cell>
        </row>
        <row r="3925">
          <cell r="J3925">
            <v>468030</v>
          </cell>
        </row>
        <row r="3935">
          <cell r="J3935">
            <v>5532289</v>
          </cell>
        </row>
        <row r="3937">
          <cell r="J3937">
            <v>14246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>
        <row r="3899">
          <cell r="J3899">
            <v>8691555</v>
          </cell>
        </row>
        <row r="3921">
          <cell r="J3921">
            <v>5433851</v>
          </cell>
        </row>
        <row r="3922">
          <cell r="J3922">
            <v>1104302</v>
          </cell>
        </row>
        <row r="3925">
          <cell r="J3925">
            <v>461911</v>
          </cell>
        </row>
        <row r="3932">
          <cell r="J3932">
            <v>149915</v>
          </cell>
        </row>
        <row r="3933">
          <cell r="J3933">
            <v>744859</v>
          </cell>
        </row>
        <row r="3934">
          <cell r="J3934">
            <v>224115</v>
          </cell>
        </row>
        <row r="3935">
          <cell r="J3935">
            <v>2529808</v>
          </cell>
        </row>
        <row r="3937">
          <cell r="J3937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/>
      <sheetData sheetId="1">
        <row r="28">
          <cell r="AR28">
            <v>4510681</v>
          </cell>
        </row>
        <row r="29">
          <cell r="AR29">
            <v>1051555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89"/>
  <sheetViews>
    <sheetView tabSelected="1" topLeftCell="A28" zoomScale="75" zoomScaleNormal="75" workbookViewId="0">
      <selection activeCell="K49" sqref="K4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392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FS196_CFA_2017_M07</v>
      </c>
    </row>
    <row r="8" spans="1:32" ht="12.95" customHeight="1" x14ac:dyDescent="0.2">
      <c r="D8" s="4" t="s">
        <v>24</v>
      </c>
      <c r="E8" s="4" t="s">
        <v>25</v>
      </c>
      <c r="F8" s="9">
        <v>473936</v>
      </c>
      <c r="G8" s="9">
        <v>718339</v>
      </c>
      <c r="H8" s="9">
        <v>543027</v>
      </c>
      <c r="I8" s="9">
        <v>803905</v>
      </c>
      <c r="J8" s="9">
        <v>692804</v>
      </c>
      <c r="K8" s="9">
        <f>1045934+106213</f>
        <v>1152147</v>
      </c>
      <c r="L8" s="9">
        <v>781899</v>
      </c>
      <c r="M8" s="9">
        <v>782278</v>
      </c>
      <c r="N8" s="9">
        <v>590283</v>
      </c>
      <c r="O8" s="9">
        <v>549449</v>
      </c>
      <c r="P8" s="9">
        <v>592216.71</v>
      </c>
      <c r="Q8" s="9">
        <v>855815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1784110</v>
      </c>
      <c r="G10" s="9">
        <v>3113388</v>
      </c>
      <c r="H10" s="9">
        <f>2472752+300656</f>
        <v>2773408</v>
      </c>
      <c r="I10" s="9">
        <v>2194756</v>
      </c>
      <c r="J10" s="9">
        <v>1752518</v>
      </c>
      <c r="K10" s="9">
        <f>1916145+82962</f>
        <v>1999107</v>
      </c>
      <c r="L10" s="9">
        <v>2033581</v>
      </c>
      <c r="M10" s="9">
        <f>1947832+210587</f>
        <v>2158419</v>
      </c>
      <c r="N10" s="9">
        <v>2034037</v>
      </c>
      <c r="O10" s="9">
        <v>3939205</v>
      </c>
      <c r="P10" s="9">
        <v>1416445.87</v>
      </c>
      <c r="Q10" s="9">
        <v>2054557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390144</v>
      </c>
      <c r="G11" s="9">
        <v>740588</v>
      </c>
      <c r="H11" s="9">
        <f>536890+62861</f>
        <v>599751</v>
      </c>
      <c r="I11" s="9">
        <v>628009</v>
      </c>
      <c r="J11" s="9">
        <v>770629</v>
      </c>
      <c r="K11" s="9">
        <v>656501</v>
      </c>
      <c r="L11" s="9">
        <v>700283</v>
      </c>
      <c r="M11" s="9">
        <f>612602+36680</f>
        <v>649282</v>
      </c>
      <c r="N11" s="9">
        <v>482876</v>
      </c>
      <c r="O11" s="9">
        <v>562881</v>
      </c>
      <c r="P11" s="9">
        <v>534832.47</v>
      </c>
      <c r="Q11" s="9">
        <v>494128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328015</v>
      </c>
      <c r="G12" s="9">
        <v>567477</v>
      </c>
      <c r="H12" s="9">
        <f>454294+35446</f>
        <v>489740</v>
      </c>
      <c r="I12" s="9">
        <v>628277</v>
      </c>
      <c r="J12" s="9">
        <v>478695</v>
      </c>
      <c r="K12" s="9">
        <f>486834+40355</f>
        <v>527189</v>
      </c>
      <c r="L12" s="9">
        <v>658580</v>
      </c>
      <c r="M12" s="9">
        <v>539432</v>
      </c>
      <c r="N12" s="9">
        <v>255241</v>
      </c>
      <c r="O12" s="9">
        <v>288186</v>
      </c>
      <c r="P12" s="9">
        <v>650938.69999999995</v>
      </c>
      <c r="Q12" s="9">
        <v>326320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178551</v>
      </c>
      <c r="G13" s="9">
        <v>300861</v>
      </c>
      <c r="H13" s="9">
        <f>268679+31904</f>
        <v>300583</v>
      </c>
      <c r="I13" s="9">
        <v>314506</v>
      </c>
      <c r="J13" s="9">
        <v>280054</v>
      </c>
      <c r="K13" s="9">
        <f>271628+11576</f>
        <v>283204</v>
      </c>
      <c r="L13" s="9">
        <v>340947</v>
      </c>
      <c r="M13" s="9">
        <f>247445+25093</f>
        <v>272538</v>
      </c>
      <c r="N13" s="9">
        <v>182786</v>
      </c>
      <c r="O13" s="9">
        <v>223635</v>
      </c>
      <c r="P13" s="9">
        <v>250251.77</v>
      </c>
      <c r="Q13" s="9">
        <v>236632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f>145+37+25813</f>
        <v>25995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164136</v>
      </c>
      <c r="G15" s="9">
        <v>10461</v>
      </c>
      <c r="H15" s="9">
        <v>85601</v>
      </c>
      <c r="I15" s="9">
        <v>68576</v>
      </c>
      <c r="J15" s="9">
        <f>2862932-2786452+84170</f>
        <v>160650</v>
      </c>
      <c r="K15" s="9">
        <v>72258</v>
      </c>
      <c r="L15" s="9">
        <v>0</v>
      </c>
      <c r="M15" s="9">
        <f>3506+3900+72801</f>
        <v>80207</v>
      </c>
      <c r="N15" s="9">
        <v>81165</v>
      </c>
      <c r="O15" s="9">
        <v>118534</v>
      </c>
      <c r="P15" s="9">
        <v>79228</v>
      </c>
      <c r="Q15" s="9">
        <v>61615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953</v>
      </c>
      <c r="G16" s="9">
        <v>2676</v>
      </c>
      <c r="H16" s="9">
        <v>1708</v>
      </c>
      <c r="I16" s="9">
        <v>1285</v>
      </c>
      <c r="J16" s="9">
        <v>0</v>
      </c>
      <c r="K16" s="9">
        <v>0</v>
      </c>
      <c r="L16" s="9">
        <v>0</v>
      </c>
      <c r="M16" s="9">
        <v>0</v>
      </c>
      <c r="N16" s="9">
        <v>2711</v>
      </c>
      <c r="O16" s="9">
        <v>88256</v>
      </c>
      <c r="P16" s="9">
        <v>65048</v>
      </c>
      <c r="Q16" s="9">
        <v>45496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22271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16400</v>
      </c>
      <c r="G19" s="9">
        <v>5800</v>
      </c>
      <c r="H19" s="9">
        <v>750</v>
      </c>
      <c r="I19" s="9">
        <v>5950</v>
      </c>
      <c r="J19" s="9">
        <v>2300</v>
      </c>
      <c r="K19" s="9">
        <v>5450</v>
      </c>
      <c r="L19" s="9">
        <f>48350-36650</f>
        <v>11700</v>
      </c>
      <c r="M19" s="9">
        <v>0</v>
      </c>
      <c r="N19" s="9">
        <v>5300</v>
      </c>
      <c r="O19" s="9">
        <v>0</v>
      </c>
      <c r="P19" s="9">
        <v>14100</v>
      </c>
      <c r="Q19" s="9">
        <v>26000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f>28228000</f>
        <v>28228000</v>
      </c>
      <c r="G22" s="9">
        <f>1810000+400000</f>
        <v>2210000</v>
      </c>
      <c r="H22" s="9">
        <v>0</v>
      </c>
      <c r="I22" s="9">
        <v>0</v>
      </c>
      <c r="J22" s="9">
        <v>450000</v>
      </c>
      <c r="K22" s="9">
        <v>22165000</v>
      </c>
      <c r="L22" s="9">
        <v>0</v>
      </c>
      <c r="M22" s="9">
        <v>0</v>
      </c>
      <c r="N22" s="9">
        <v>0</v>
      </c>
      <c r="O22" s="9">
        <v>0</v>
      </c>
      <c r="P22" s="9">
        <v>9654502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3513169</v>
      </c>
      <c r="G23" s="9">
        <v>1950321</v>
      </c>
      <c r="H23" s="9">
        <v>2608998</v>
      </c>
      <c r="I23" s="9">
        <v>150654</v>
      </c>
      <c r="J23" s="9">
        <f>1342+3506+70418+82500</f>
        <v>157766</v>
      </c>
      <c r="K23" s="9">
        <f>75672+11495+3506+55212</f>
        <v>145885</v>
      </c>
      <c r="L23" s="9">
        <f>28620+73824+1342</f>
        <v>103786</v>
      </c>
      <c r="M23" s="9">
        <f>24989+77936</f>
        <v>102925</v>
      </c>
      <c r="N23" s="9">
        <f>1406304+127335</f>
        <v>1533639</v>
      </c>
      <c r="O23" s="9">
        <f>1403413+757992</f>
        <v>2161405</v>
      </c>
      <c r="P23" s="9">
        <v>113140</v>
      </c>
      <c r="Q23" s="9">
        <v>2589967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35077414</v>
      </c>
      <c r="G24" s="10">
        <f t="shared" ref="G24:Q24" si="0">SUM(G8:G23)</f>
        <v>9619911</v>
      </c>
      <c r="H24" s="10">
        <f t="shared" si="0"/>
        <v>7403566</v>
      </c>
      <c r="I24" s="10">
        <f t="shared" si="0"/>
        <v>4795918</v>
      </c>
      <c r="J24" s="10">
        <f t="shared" si="0"/>
        <v>4745416</v>
      </c>
      <c r="K24" s="10">
        <f t="shared" si="0"/>
        <v>27006741</v>
      </c>
      <c r="L24" s="10">
        <f t="shared" si="0"/>
        <v>4630776</v>
      </c>
      <c r="M24" s="10">
        <f t="shared" si="0"/>
        <v>4585081</v>
      </c>
      <c r="N24" s="10">
        <f t="shared" si="0"/>
        <v>5168038</v>
      </c>
      <c r="O24" s="10">
        <f t="shared" si="0"/>
        <v>7931551</v>
      </c>
      <c r="P24" s="10">
        <f t="shared" si="0"/>
        <v>13370703.52</v>
      </c>
      <c r="Q24" s="10">
        <f t="shared" si="0"/>
        <v>6738796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8716000</v>
      </c>
      <c r="G26" s="9">
        <v>0</v>
      </c>
      <c r="H26" s="9">
        <v>0</v>
      </c>
      <c r="I26" s="9">
        <v>0</v>
      </c>
      <c r="J26" s="9">
        <v>222902</v>
      </c>
      <c r="K26" s="9">
        <f>6820000+2927231</f>
        <v>9747231</v>
      </c>
      <c r="L26" s="9">
        <v>0</v>
      </c>
      <c r="M26" s="9">
        <v>0</v>
      </c>
      <c r="N26" s="9">
        <f>5645000+1000000+1667212+1707686</f>
        <v>10019898</v>
      </c>
      <c r="O26" s="9">
        <v>0</v>
      </c>
      <c r="P26" s="9">
        <v>1031343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f>4650+5010</f>
        <v>9660</v>
      </c>
      <c r="K31" s="9">
        <v>0</v>
      </c>
      <c r="L31" s="9">
        <v>0</v>
      </c>
      <c r="M31" s="9">
        <v>0</v>
      </c>
      <c r="N31" s="9">
        <f>+M31-120923</f>
        <v>-120923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f>-26885000+2419200+9037316+3092596+1414387+400000-5350000-3090321+492229-670-83043</f>
        <v>-18553306</v>
      </c>
      <c r="G33" s="9">
        <f>9896603-308043</f>
        <v>9588560</v>
      </c>
      <c r="H33" s="9">
        <f>1842073+1000000+700000+12500000+1700000+1312881</f>
        <v>19054954</v>
      </c>
      <c r="I33" s="9">
        <v>10037388</v>
      </c>
      <c r="J33" s="9">
        <v>5858908</v>
      </c>
      <c r="K33" s="9">
        <v>-16514296</v>
      </c>
      <c r="L33" s="9">
        <v>5443470</v>
      </c>
      <c r="M33" s="9">
        <v>0</v>
      </c>
      <c r="N33" s="9">
        <v>-3711900</v>
      </c>
      <c r="O33" s="9">
        <f>1660000+190000-1288000+180000+400000-450000+300000+150000+700000+170000+150000+260000+140000+200000+1670000-2873980-280000-1297386+129371+900000-400000-286089</f>
        <v>323916</v>
      </c>
      <c r="P33" s="9">
        <f>-189881+30705</f>
        <v>-159176</v>
      </c>
      <c r="Q33" s="9">
        <v>4116177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25240108</v>
      </c>
      <c r="G35" s="10">
        <f t="shared" ref="G35:Q35" si="1">SUM(G26:G34)+G24</f>
        <v>19208471</v>
      </c>
      <c r="H35" s="10">
        <f t="shared" si="1"/>
        <v>26458520</v>
      </c>
      <c r="I35" s="10">
        <f t="shared" si="1"/>
        <v>14833306</v>
      </c>
      <c r="J35" s="10">
        <f t="shared" si="1"/>
        <v>10836886</v>
      </c>
      <c r="K35" s="10">
        <f t="shared" si="1"/>
        <v>20239676</v>
      </c>
      <c r="L35" s="10">
        <f t="shared" si="1"/>
        <v>10074246</v>
      </c>
      <c r="M35" s="10">
        <f t="shared" si="1"/>
        <v>4585081</v>
      </c>
      <c r="N35" s="10">
        <f t="shared" si="1"/>
        <v>11355113</v>
      </c>
      <c r="O35" s="10">
        <f t="shared" si="1"/>
        <v>8255467</v>
      </c>
      <c r="P35" s="10">
        <f t="shared" si="1"/>
        <v>14242870.52</v>
      </c>
      <c r="Q35" s="10">
        <f t="shared" si="1"/>
        <v>10854973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f>4621152+1007613</f>
        <v>5628765</v>
      </c>
      <c r="G37" s="9">
        <f>4914311+1077589</f>
        <v>5991900</v>
      </c>
      <c r="H37" s="9">
        <f>5439242+1109094</f>
        <v>6548336</v>
      </c>
      <c r="I37" s="9">
        <f>5087622+1114847</f>
        <v>6202469</v>
      </c>
      <c r="J37" s="9">
        <f>5611815+1110226</f>
        <v>6722041</v>
      </c>
      <c r="K37" s="9">
        <f>+[1]Sheet1!$J$3921+[1]Sheet1!$J$3922</f>
        <v>6368559</v>
      </c>
      <c r="L37" s="9">
        <f>+[2]Sheet1!$J$3921+[2]Sheet1!$J$3922</f>
        <v>6538153</v>
      </c>
      <c r="M37" s="9">
        <f>4785254+1187369</f>
        <v>5972623</v>
      </c>
      <c r="N37" s="9">
        <f>4702747+1036331</f>
        <v>5739078</v>
      </c>
      <c r="O37" s="9">
        <f>3777494+1043654</f>
        <v>4821148</v>
      </c>
      <c r="P37" s="9">
        <f>+[3]Summary!$AR$28+[3]Summary!$AR$29</f>
        <v>5562236</v>
      </c>
      <c r="Q37" s="9">
        <f>3392149+831320</f>
        <v>4223469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349955</v>
      </c>
      <c r="G38" s="9">
        <v>400808</v>
      </c>
      <c r="H38" s="9">
        <v>462357</v>
      </c>
      <c r="I38" s="9">
        <v>446451</v>
      </c>
      <c r="J38" s="9">
        <v>569476</v>
      </c>
      <c r="K38" s="9">
        <f>+[1]Sheet1!$J$3925</f>
        <v>468030</v>
      </c>
      <c r="L38" s="9">
        <f>+[2]Sheet1!$J$3925</f>
        <v>461911</v>
      </c>
      <c r="M38" s="9">
        <v>538295</v>
      </c>
      <c r="N38" s="9">
        <v>400537</v>
      </c>
      <c r="O38" s="9">
        <v>1075375</v>
      </c>
      <c r="P38" s="9">
        <v>634560</v>
      </c>
      <c r="Q38" s="9">
        <v>306247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1459599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4794966</v>
      </c>
      <c r="G41" s="9">
        <v>5456059</v>
      </c>
      <c r="H41" s="9">
        <v>0</v>
      </c>
      <c r="I41" s="9">
        <v>2912250</v>
      </c>
      <c r="J41" s="9">
        <v>0</v>
      </c>
      <c r="K41" s="9">
        <v>0</v>
      </c>
      <c r="L41" s="9">
        <v>2532782</v>
      </c>
      <c r="M41" s="9">
        <f>100000+2788231</f>
        <v>2888231</v>
      </c>
      <c r="N41" s="9">
        <f>2678348+100000</f>
        <v>2778348</v>
      </c>
      <c r="O41" s="9">
        <f>100000+2788231+150000</f>
        <v>3038231</v>
      </c>
      <c r="P41" s="9">
        <f>100000+2788231+200000</f>
        <v>3088231</v>
      </c>
      <c r="Q41" s="9">
        <f>100000+2788231+285000</f>
        <v>3173231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28696</v>
      </c>
      <c r="G42" s="9">
        <v>0</v>
      </c>
      <c r="H42" s="9">
        <v>160231</v>
      </c>
      <c r="I42" s="9">
        <v>0</v>
      </c>
      <c r="J42" s="9">
        <v>0</v>
      </c>
      <c r="K42" s="9">
        <v>271639</v>
      </c>
      <c r="L42" s="9">
        <v>101735</v>
      </c>
      <c r="M42" s="9">
        <v>40710</v>
      </c>
      <c r="N42" s="9">
        <v>172012</v>
      </c>
      <c r="O42" s="9">
        <v>80677</v>
      </c>
      <c r="P42" s="9">
        <v>170033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156685</v>
      </c>
      <c r="G43" s="9">
        <v>348615</v>
      </c>
      <c r="H43" s="9">
        <v>559549</v>
      </c>
      <c r="I43" s="9">
        <v>304076</v>
      </c>
      <c r="J43" s="9">
        <v>284826</v>
      </c>
      <c r="K43" s="9">
        <v>293311</v>
      </c>
      <c r="L43" s="9">
        <f>+[2]Sheet1!$J$3932</f>
        <v>149915</v>
      </c>
      <c r="M43" s="9">
        <v>161399</v>
      </c>
      <c r="N43" s="9">
        <v>143770</v>
      </c>
      <c r="O43" s="9">
        <v>124228</v>
      </c>
      <c r="P43" s="9">
        <v>47833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104060</v>
      </c>
      <c r="G44" s="9">
        <v>0</v>
      </c>
      <c r="H44" s="9">
        <v>734703</v>
      </c>
      <c r="I44" s="9">
        <v>149506</v>
      </c>
      <c r="J44" s="9">
        <v>0</v>
      </c>
      <c r="K44" s="9">
        <v>2338099</v>
      </c>
      <c r="L44" s="9">
        <f>+[2]Sheet1!$J$3933</f>
        <v>744859</v>
      </c>
      <c r="M44" s="9">
        <v>1105763</v>
      </c>
      <c r="N44" s="9">
        <v>293831</v>
      </c>
      <c r="O44" s="9">
        <v>160956</v>
      </c>
      <c r="P44" s="9">
        <v>245584</v>
      </c>
      <c r="Q44" s="9">
        <v>704016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114007</v>
      </c>
      <c r="J46" s="9">
        <v>113044</v>
      </c>
      <c r="K46" s="9">
        <v>114730</v>
      </c>
      <c r="L46" s="9">
        <f>+[2]Sheet1!$J$3934</f>
        <v>224115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f>2419200+9037316+1127032+1806427</f>
        <v>14389975</v>
      </c>
      <c r="G47" s="9">
        <v>2442856</v>
      </c>
      <c r="H47" s="9">
        <v>1483390</v>
      </c>
      <c r="I47" s="9">
        <v>2782400</v>
      </c>
      <c r="J47" s="9">
        <v>2434639</v>
      </c>
      <c r="K47" s="9">
        <f>+[1]Sheet1!$J$3935+[1]Sheet1!$J$3937</f>
        <v>5546535</v>
      </c>
      <c r="L47" s="9">
        <f>+[2]Sheet1!$J$3935+[2]Sheet1!$J$3937</f>
        <v>2529808</v>
      </c>
      <c r="M47" s="9">
        <v>6422705</v>
      </c>
      <c r="N47" s="9">
        <f>2016364</f>
        <v>2016364</v>
      </c>
      <c r="O47" s="9">
        <v>542826</v>
      </c>
      <c r="P47" s="9">
        <v>1882453</v>
      </c>
      <c r="Q47" s="9">
        <v>719999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25453102</v>
      </c>
      <c r="G48" s="10">
        <f t="shared" ref="G48:Q48" si="2">SUM(G37:G47)</f>
        <v>14640238</v>
      </c>
      <c r="H48" s="10">
        <f t="shared" si="2"/>
        <v>9948566</v>
      </c>
      <c r="I48" s="10">
        <f t="shared" si="2"/>
        <v>12911159</v>
      </c>
      <c r="J48" s="10">
        <f t="shared" si="2"/>
        <v>10124026</v>
      </c>
      <c r="K48" s="10">
        <f t="shared" si="2"/>
        <v>15400903</v>
      </c>
      <c r="L48" s="10">
        <f t="shared" si="2"/>
        <v>13283278</v>
      </c>
      <c r="M48" s="10">
        <f t="shared" si="2"/>
        <v>17129726</v>
      </c>
      <c r="N48" s="10">
        <f t="shared" si="2"/>
        <v>11543940</v>
      </c>
      <c r="O48" s="10">
        <f t="shared" si="2"/>
        <v>9843441</v>
      </c>
      <c r="P48" s="10">
        <f t="shared" si="2"/>
        <v>11630930</v>
      </c>
      <c r="Q48" s="10">
        <f t="shared" si="2"/>
        <v>10586561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492229</v>
      </c>
      <c r="G50" s="9">
        <v>1753399</v>
      </c>
      <c r="H50" s="9">
        <v>18454863</v>
      </c>
      <c r="I50" s="9">
        <v>1991815.05</v>
      </c>
      <c r="J50" s="9">
        <v>393928</v>
      </c>
      <c r="K50" s="9">
        <v>4838957</v>
      </c>
      <c r="L50" s="9">
        <v>380571</v>
      </c>
      <c r="M50" s="9">
        <v>2902521</v>
      </c>
      <c r="N50" s="9">
        <v>2280052</v>
      </c>
      <c r="O50" s="9">
        <v>1183599</v>
      </c>
      <c r="P50" s="9">
        <v>6201649</v>
      </c>
      <c r="Q50" s="9">
        <v>4161642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25945331</v>
      </c>
      <c r="G53" s="10">
        <f t="shared" ref="G53:Q53" si="3">SUM(G50:G52)+G48</f>
        <v>16393637</v>
      </c>
      <c r="H53" s="10">
        <f t="shared" si="3"/>
        <v>28403429</v>
      </c>
      <c r="I53" s="10">
        <f t="shared" si="3"/>
        <v>14902974.050000001</v>
      </c>
      <c r="J53" s="10">
        <f t="shared" si="3"/>
        <v>10517954</v>
      </c>
      <c r="K53" s="10">
        <f t="shared" si="3"/>
        <v>20239860</v>
      </c>
      <c r="L53" s="10">
        <f t="shared" si="3"/>
        <v>13663849</v>
      </c>
      <c r="M53" s="10">
        <f t="shared" si="3"/>
        <v>20032247</v>
      </c>
      <c r="N53" s="10">
        <f t="shared" si="3"/>
        <v>13823992</v>
      </c>
      <c r="O53" s="10">
        <f t="shared" si="3"/>
        <v>11027040</v>
      </c>
      <c r="P53" s="10">
        <f t="shared" si="3"/>
        <v>17832579</v>
      </c>
      <c r="Q53" s="10">
        <f t="shared" si="3"/>
        <v>14748203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-705223</v>
      </c>
      <c r="G54" s="10">
        <f t="shared" ref="G54:Q54" si="4">+G35-G53</f>
        <v>2814834</v>
      </c>
      <c r="H54" s="10">
        <f t="shared" si="4"/>
        <v>-1944909</v>
      </c>
      <c r="I54" s="10">
        <f t="shared" si="4"/>
        <v>-69668.050000000745</v>
      </c>
      <c r="J54" s="10">
        <f t="shared" si="4"/>
        <v>318932</v>
      </c>
      <c r="K54" s="10">
        <f t="shared" si="4"/>
        <v>-184</v>
      </c>
      <c r="L54" s="10">
        <f t="shared" si="4"/>
        <v>-3589603</v>
      </c>
      <c r="M54" s="10">
        <f t="shared" si="4"/>
        <v>-15447166</v>
      </c>
      <c r="N54" s="10">
        <f t="shared" si="4"/>
        <v>-2468879</v>
      </c>
      <c r="O54" s="10">
        <f t="shared" si="4"/>
        <v>-2771573</v>
      </c>
      <c r="P54" s="10">
        <f t="shared" si="4"/>
        <v>-3589708.4800000004</v>
      </c>
      <c r="Q54" s="10">
        <f t="shared" si="4"/>
        <v>-3893230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622180</v>
      </c>
      <c r="G55" s="12">
        <f>+F56</f>
        <v>-83043</v>
      </c>
      <c r="H55" s="12">
        <f t="shared" ref="H55:Q55" si="5">+G56</f>
        <v>2731791</v>
      </c>
      <c r="I55" s="12">
        <f t="shared" si="5"/>
        <v>786882</v>
      </c>
      <c r="J55" s="12">
        <f t="shared" si="5"/>
        <v>717213.94999999925</v>
      </c>
      <c r="K55" s="12">
        <f t="shared" si="5"/>
        <v>1036145.9499999993</v>
      </c>
      <c r="L55" s="12">
        <f t="shared" si="5"/>
        <v>1035961.9499999993</v>
      </c>
      <c r="M55" s="12">
        <f t="shared" si="5"/>
        <v>-2553641.0500000007</v>
      </c>
      <c r="N55" s="12">
        <f t="shared" si="5"/>
        <v>-18000807.050000001</v>
      </c>
      <c r="O55" s="12">
        <f t="shared" si="5"/>
        <v>-20469686.050000001</v>
      </c>
      <c r="P55" s="12">
        <f t="shared" si="5"/>
        <v>-23241259.050000001</v>
      </c>
      <c r="Q55" s="12">
        <f t="shared" si="5"/>
        <v>-26830967.530000001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-83043</v>
      </c>
      <c r="G56" s="10">
        <f t="shared" ref="G56:Q56" si="6">+G54+G55</f>
        <v>2731791</v>
      </c>
      <c r="H56" s="10">
        <f t="shared" si="6"/>
        <v>786882</v>
      </c>
      <c r="I56" s="10">
        <f t="shared" si="6"/>
        <v>717213.94999999925</v>
      </c>
      <c r="J56" s="10">
        <f t="shared" si="6"/>
        <v>1036145.9499999993</v>
      </c>
      <c r="K56" s="10">
        <f t="shared" si="6"/>
        <v>1035961.9499999993</v>
      </c>
      <c r="L56" s="10">
        <f t="shared" si="6"/>
        <v>-2553641.0500000007</v>
      </c>
      <c r="M56" s="10">
        <f t="shared" si="6"/>
        <v>-18000807.050000001</v>
      </c>
      <c r="N56" s="10">
        <f t="shared" si="6"/>
        <v>-20469686.050000001</v>
      </c>
      <c r="O56" s="10">
        <f t="shared" si="6"/>
        <v>-23241259.050000001</v>
      </c>
      <c r="P56" s="10">
        <f t="shared" si="6"/>
        <v>-26830967.530000001</v>
      </c>
      <c r="Q56" s="10">
        <f t="shared" si="6"/>
        <v>-30724197.530000001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1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9DF9EC-2541-4819-A903-1E2754112BF9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Ranthako Mokatsanyane</cp:lastModifiedBy>
  <cp:lastPrinted>2014-08-11T10:23:22Z</cp:lastPrinted>
  <dcterms:created xsi:type="dcterms:W3CDTF">2013-08-15T15:15:14Z</dcterms:created>
  <dcterms:modified xsi:type="dcterms:W3CDTF">2017-03-14T14:24:16Z</dcterms:modified>
</cp:coreProperties>
</file>